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SERWERX\BackpuPC\K. Targoński\A\Gmina Goszczyn\gaz - III przetarg\"/>
    </mc:Choice>
  </mc:AlternateContent>
  <xr:revisionPtr revIDLastSave="0" documentId="13_ncr:1_{5B2CAEDB-56B2-4447-9D27-1973D2805734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Zmiany" sheetId="9" state="hidden" r:id="rId1"/>
    <sheet name="Arkusz1" sheetId="2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24" l="1"/>
  <c r="M8" i="24" s="1"/>
  <c r="K7" i="24"/>
  <c r="M7" i="24" s="1"/>
  <c r="Q7" i="24"/>
  <c r="K6" i="24"/>
  <c r="M6" i="24" s="1"/>
  <c r="K5" i="24"/>
  <c r="M5" i="24" s="1"/>
  <c r="Q5" i="24"/>
  <c r="A4" i="24"/>
  <c r="B4" i="24"/>
  <c r="C4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O5" i="24" l="1"/>
  <c r="R5" i="24" s="1"/>
  <c r="S5" i="24" s="1"/>
  <c r="Q6" i="24"/>
  <c r="O7" i="24"/>
  <c r="R7" i="24" s="1"/>
  <c r="S7" i="24" s="1"/>
  <c r="T7" i="24" s="1"/>
  <c r="Q8" i="24"/>
  <c r="T5" i="24" l="1"/>
  <c r="O8" i="24"/>
  <c r="R8" i="24" s="1"/>
  <c r="S8" i="24" s="1"/>
  <c r="T8" i="24" s="1"/>
  <c r="O6" i="24"/>
  <c r="R6" i="24" s="1"/>
  <c r="S6" i="24" s="1"/>
  <c r="T6" i="24" l="1"/>
  <c r="T9" i="24" s="1"/>
  <c r="S9" i="24"/>
</calcChain>
</file>

<file path=xl/sharedStrings.xml><?xml version="1.0" encoding="utf-8"?>
<sst xmlns="http://schemas.openxmlformats.org/spreadsheetml/2006/main" count="103" uniqueCount="82">
  <si>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</si>
  <si>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</si>
  <si>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</si>
  <si>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</si>
  <si>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</si>
  <si>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</si>
  <si>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</si>
  <si>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</si>
  <si>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</si>
  <si>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</si>
  <si>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</si>
  <si>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</si>
  <si>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</si>
  <si>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</si>
  <si>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</si>
  <si>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</si>
  <si>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</si>
  <si>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</si>
  <si>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</si>
  <si>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</si>
  <si>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</si>
  <si>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</si>
  <si>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</si>
  <si>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</si>
  <si>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</si>
  <si>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</si>
  <si>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</si>
  <si>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</si>
  <si>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</si>
  <si>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</si>
  <si>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</si>
  <si>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</si>
  <si>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</si>
  <si>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</si>
  <si>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</si>
  <si>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</si>
  <si>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</si>
  <si>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</si>
  <si>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</si>
  <si>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</si>
  <si>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</si>
  <si>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</si>
  <si>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</si>
  <si>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</si>
  <si>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</si>
  <si>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</si>
  <si>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</si>
  <si>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</si>
  <si>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Załącznik nr 3 do SIWZ - Formularz cenowy</t>
  </si>
  <si>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</si>
  <si>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</si>
  <si>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</si>
  <si>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(kWh)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</si>
  <si>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(kWh)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</si>
  <si>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(kWh)</t>
    </r>
  </si>
  <si>
    <t>Liczba miesięcy</t>
  </si>
  <si>
    <t>Liczba dni</t>
  </si>
  <si>
    <t>Oddział dystrybucji</t>
  </si>
  <si>
    <t>Cena za gaz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</si>
  <si>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</si>
  <si>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</si>
  <si>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</si>
  <si>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(gr/kWh)
(kol. 10 + 0,362)</t>
    </r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</si>
  <si>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</si>
  <si>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
b) (gr/(kWh/h) za h) 
dla grup taryfowych z ozn. 
W-5, W-6, W-7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</si>
  <si>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</si>
  <si>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</si>
  <si>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</si>
  <si>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</si>
  <si>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</si>
  <si>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</si>
  <si>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nd.</t>
  </si>
  <si>
    <t>W-3.6</t>
  </si>
  <si>
    <t>W-4</t>
  </si>
  <si>
    <t>W-5.1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</si>
  <si>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</si>
  <si>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</si>
  <si>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</si>
  <si>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W-1.1</t>
  </si>
  <si>
    <t>Cena za usługi dystrybucyjne (zł netto)**</t>
  </si>
  <si>
    <t>**Rozliczenia kosztów dystrybucji będą prowadzone zgodnie z taryfą OSD.</t>
  </si>
  <si>
    <t>PSG Sp. z o.o. -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</si>
</sst>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7" borderId="1" xfId="0" applyNumberFormat="1" applyFont="1" applyFill="1" applyBorder="1" applyAlignment="1" applyProtection="1">
      <alignment horizontal="center" vertical="center"/>
    </xf>
    <xf numFmtId="4" fontId="9" fillId="7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</cellStyles>
  <dxfs count="0"/>
  <tableStyles count="0" defaultTableStyle="TableStyleMedium9" defaultPivotStyle="PivotStyleLight16"/>
  <colors>
    <mruColors>
      <color rgb="FFF9FCD2"/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6"/>
  <sheetViews>
    <sheetView tabSelected="1" zoomScale="85" zoomScaleNormal="85" workbookViewId="0">
      <selection activeCell="K10" sqref="K10"/>
    </sheetView>
  </sheetViews>
  <sheetFormatPr defaultRowHeight="13.2"/>
  <cols>
    <col min="1" max="1" width="7.33203125" style="26" customWidth="1"/>
    <col min="2" max="2" width="7.44140625" style="26" customWidth="1"/>
    <col min="3" max="3" width="7.109375" style="26" customWidth="1"/>
    <col min="4" max="5" width="14.109375" style="26" customWidth="1"/>
    <col min="6" max="6" width="13.33203125" style="26" customWidth="1"/>
    <col min="7" max="7" width="7.109375" style="26" customWidth="1"/>
    <col min="8" max="8" width="6.44140625" style="26" customWidth="1"/>
    <col min="9" max="9" width="21.109375" style="26" customWidth="1"/>
    <col min="10" max="12" width="12.33203125" style="26" customWidth="1"/>
    <col min="13" max="13" width="15.6640625" style="26" customWidth="1"/>
    <col min="14" max="14" width="20" style="26" customWidth="1"/>
    <col min="15" max="15" width="18.88671875" style="26" customWidth="1"/>
    <col min="16" max="16" width="12.109375" style="26" customWidth="1"/>
    <col min="17" max="17" width="15.33203125" style="26" customWidth="1"/>
    <col min="18" max="18" width="13.33203125" style="26" customWidth="1"/>
    <col min="19" max="19" width="12.33203125" style="26" customWidth="1"/>
    <col min="20" max="20" width="11" style="26" customWidth="1"/>
    <col min="24" max="24" width="9.88671875" bestFit="1" customWidth="1"/>
  </cols>
  <sheetData>
    <row r="1" spans="1:20" ht="15.75" customHeight="1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24" customHeight="1">
      <c r="A2" s="43" t="s">
        <v>49</v>
      </c>
      <c r="B2" s="43" t="s">
        <v>50</v>
      </c>
      <c r="C2" s="43" t="s">
        <v>51</v>
      </c>
      <c r="D2" s="45" t="s">
        <v>52</v>
      </c>
      <c r="E2" s="45" t="s">
        <v>53</v>
      </c>
      <c r="F2" s="45" t="s">
        <v>54</v>
      </c>
      <c r="G2" s="43" t="s">
        <v>55</v>
      </c>
      <c r="H2" s="43" t="s">
        <v>56</v>
      </c>
      <c r="I2" s="43" t="s">
        <v>57</v>
      </c>
      <c r="J2" s="37" t="s">
        <v>58</v>
      </c>
      <c r="K2" s="38"/>
      <c r="L2" s="38"/>
      <c r="M2" s="39"/>
      <c r="N2" s="37" t="s">
        <v>79</v>
      </c>
      <c r="O2" s="38"/>
      <c r="P2" s="38"/>
      <c r="Q2" s="38"/>
      <c r="R2" s="39"/>
      <c r="S2" s="18" t="s">
        <v>59</v>
      </c>
      <c r="T2" s="18" t="s">
        <v>60</v>
      </c>
    </row>
    <row r="3" spans="1:20" ht="186.6" customHeight="1">
      <c r="A3" s="44"/>
      <c r="B3" s="44"/>
      <c r="C3" s="44"/>
      <c r="D3" s="46"/>
      <c r="E3" s="46"/>
      <c r="F3" s="46"/>
      <c r="G3" s="44"/>
      <c r="H3" s="44"/>
      <c r="I3" s="44"/>
      <c r="J3" s="30" t="s">
        <v>61</v>
      </c>
      <c r="K3" s="29" t="s">
        <v>62</v>
      </c>
      <c r="L3" s="30" t="s">
        <v>77</v>
      </c>
      <c r="M3" s="30" t="s">
        <v>63</v>
      </c>
      <c r="N3" s="30" t="s">
        <v>64</v>
      </c>
      <c r="O3" s="30" t="s">
        <v>65</v>
      </c>
      <c r="P3" s="29" t="s">
        <v>66</v>
      </c>
      <c r="Q3" s="30" t="s">
        <v>67</v>
      </c>
      <c r="R3" s="30" t="s">
        <v>68</v>
      </c>
      <c r="S3" s="30" t="s">
        <v>69</v>
      </c>
      <c r="T3" s="30" t="s">
        <v>70</v>
      </c>
    </row>
    <row r="4" spans="1:20" ht="12.75" customHeight="1">
      <c r="A4" s="19" t="str">
        <f>"-1-"</f>
        <v>-1-</v>
      </c>
      <c r="B4" s="19" t="str">
        <f>"-2-"</f>
        <v>-2-</v>
      </c>
      <c r="C4" s="19" t="str">
        <f>"-3-"</f>
        <v>-3-</v>
      </c>
      <c r="D4" s="19" t="str">
        <f>"-4-"</f>
        <v>-4-</v>
      </c>
      <c r="E4" s="19" t="str">
        <f>"-5-"</f>
        <v>-5-</v>
      </c>
      <c r="F4" s="19" t="str">
        <f>"-6-"</f>
        <v>-6-</v>
      </c>
      <c r="G4" s="19" t="str">
        <f>"-7-"</f>
        <v>-7-</v>
      </c>
      <c r="H4" s="19" t="str">
        <f>"-8-"</f>
        <v>-8-</v>
      </c>
      <c r="I4" s="19" t="str">
        <f>"-9-"</f>
        <v>-9-</v>
      </c>
      <c r="J4" s="19" t="str">
        <f>"-10-"</f>
        <v>-10-</v>
      </c>
      <c r="K4" s="19" t="str">
        <f>"-11-"</f>
        <v>-11-</v>
      </c>
      <c r="L4" s="19" t="str">
        <f>"-12-"</f>
        <v>-12-</v>
      </c>
      <c r="M4" s="19" t="str">
        <f>"-13-"</f>
        <v>-13-</v>
      </c>
      <c r="N4" s="19" t="str">
        <f>"-14-"</f>
        <v>-14-</v>
      </c>
      <c r="O4" s="19" t="str">
        <f>"-15-"</f>
        <v>-15-</v>
      </c>
      <c r="P4" s="19" t="str">
        <f>"-16-"</f>
        <v>-16-</v>
      </c>
      <c r="Q4" s="19" t="str">
        <f>"-17-"</f>
        <v>-17-</v>
      </c>
      <c r="R4" s="19" t="str">
        <f>"-18-"</f>
        <v>-18-</v>
      </c>
      <c r="S4" s="19" t="str">
        <f>"-19-"</f>
        <v>-19-</v>
      </c>
      <c r="T4" s="19" t="str">
        <f>"-20-"</f>
        <v>-20-</v>
      </c>
    </row>
    <row r="5" spans="1:20" ht="28.8" customHeight="1">
      <c r="A5" s="20" t="s">
        <v>78</v>
      </c>
      <c r="B5" s="20">
        <v>1</v>
      </c>
      <c r="C5" s="21" t="s">
        <v>71</v>
      </c>
      <c r="D5" s="22">
        <v>1208</v>
      </c>
      <c r="E5" s="22">
        <v>0</v>
      </c>
      <c r="F5" s="22">
        <v>1208</v>
      </c>
      <c r="G5" s="22">
        <v>12</v>
      </c>
      <c r="H5" s="22" t="s">
        <v>71</v>
      </c>
      <c r="I5" s="23" t="s">
        <v>81</v>
      </c>
      <c r="J5" s="31"/>
      <c r="K5" s="24" t="str">
        <f>IF(ROUND(J5,3)=0,"",ROUND(J5,3)+0.362)</f>
        <v/>
      </c>
      <c r="L5" s="32"/>
      <c r="M5" s="25" t="str">
        <f>IF(ROUND(J5,3)&gt;0,ROUND(D5*ROUND(J5,3)/100+E5*K5/100+ROUND(L5,2)*G5*B5,2),"")</f>
        <v/>
      </c>
      <c r="N5" s="33">
        <v>3.34</v>
      </c>
      <c r="O5" s="25">
        <f>ROUND(IF(C5="nd.",B5*N5*G5,(H5*24*C5*N5)/100),2)</f>
        <v>40.08</v>
      </c>
      <c r="P5" s="33">
        <v>3.9529999999999998</v>
      </c>
      <c r="Q5" s="25">
        <f t="shared" ref="Q5:Q8" si="0">ROUND(P5*F5/100,2)</f>
        <v>47.75</v>
      </c>
      <c r="R5" s="25">
        <f>O5+Q5</f>
        <v>87.83</v>
      </c>
      <c r="S5" s="25" t="str">
        <f>IF(J5&gt;0,M5+R5,"")</f>
        <v/>
      </c>
      <c r="T5" s="25" t="str">
        <f>IF(J5&gt;0,ROUND(S5*1.23,2),"")</f>
        <v/>
      </c>
    </row>
    <row r="6" spans="1:20" ht="28.8" customHeight="1">
      <c r="A6" s="20" t="s">
        <v>72</v>
      </c>
      <c r="B6" s="20">
        <v>4</v>
      </c>
      <c r="C6" s="21" t="s">
        <v>71</v>
      </c>
      <c r="D6" s="22">
        <v>131498</v>
      </c>
      <c r="E6" s="22">
        <v>0</v>
      </c>
      <c r="F6" s="22">
        <v>131498</v>
      </c>
      <c r="G6" s="22">
        <v>12</v>
      </c>
      <c r="H6" s="22" t="s">
        <v>71</v>
      </c>
      <c r="I6" s="23" t="s">
        <v>81</v>
      </c>
      <c r="J6" s="31"/>
      <c r="K6" s="24" t="str">
        <f t="shared" ref="K6:K8" si="1">IF(ROUND(J6,3)=0,"",ROUND(J6,3)+0.362)</f>
        <v/>
      </c>
      <c r="L6" s="32"/>
      <c r="M6" s="25" t="str">
        <f t="shared" ref="M6:M8" si="2">IF(ROUND(J6,3)&gt;0,ROUND(D6*ROUND(J6,3)/100+E6*K6/100+ROUND(L6,2)*G6*B6,2),"")</f>
        <v/>
      </c>
      <c r="N6" s="33">
        <v>35.29</v>
      </c>
      <c r="O6" s="25">
        <f t="shared" ref="O6:O8" si="3">ROUND(IF(C6="nd.",B6*N6*G6,(H6*24*C6*N6)/100),2)</f>
        <v>1693.92</v>
      </c>
      <c r="P6" s="33">
        <v>2.1920000000000002</v>
      </c>
      <c r="Q6" s="25">
        <f t="shared" si="0"/>
        <v>2882.44</v>
      </c>
      <c r="R6" s="25">
        <f t="shared" ref="R6:R8" si="4">O6+Q6</f>
        <v>4576.3600000000006</v>
      </c>
      <c r="S6" s="25" t="str">
        <f t="shared" ref="S6:S8" si="5">IF(J6&gt;0,M6+R6,"")</f>
        <v/>
      </c>
      <c r="T6" s="25" t="str">
        <f t="shared" ref="T6:T8" si="6">IF(J6&gt;0,ROUND(S6*1.23,2),"")</f>
        <v/>
      </c>
    </row>
    <row r="7" spans="1:20" ht="28.8" customHeight="1">
      <c r="A7" s="20" t="s">
        <v>73</v>
      </c>
      <c r="B7" s="20">
        <v>1</v>
      </c>
      <c r="C7" s="21" t="s">
        <v>71</v>
      </c>
      <c r="D7" s="22">
        <v>129719</v>
      </c>
      <c r="E7" s="22">
        <v>0</v>
      </c>
      <c r="F7" s="22">
        <v>129719</v>
      </c>
      <c r="G7" s="22">
        <v>12</v>
      </c>
      <c r="H7" s="22" t="s">
        <v>71</v>
      </c>
      <c r="I7" s="23" t="s">
        <v>81</v>
      </c>
      <c r="J7" s="31"/>
      <c r="K7" s="24" t="str">
        <f t="shared" si="1"/>
        <v/>
      </c>
      <c r="L7" s="32"/>
      <c r="M7" s="25" t="str">
        <f t="shared" si="2"/>
        <v/>
      </c>
      <c r="N7" s="33">
        <v>195.87</v>
      </c>
      <c r="O7" s="25">
        <f t="shared" si="3"/>
        <v>2350.44</v>
      </c>
      <c r="P7" s="33">
        <v>2.1640000000000001</v>
      </c>
      <c r="Q7" s="25">
        <f t="shared" si="0"/>
        <v>2807.12</v>
      </c>
      <c r="R7" s="25">
        <f t="shared" si="4"/>
        <v>5157.5599999999995</v>
      </c>
      <c r="S7" s="25" t="str">
        <f t="shared" si="5"/>
        <v/>
      </c>
      <c r="T7" s="25" t="str">
        <f t="shared" si="6"/>
        <v/>
      </c>
    </row>
    <row r="8" spans="1:20" ht="28.8" customHeight="1">
      <c r="A8" s="20" t="s">
        <v>74</v>
      </c>
      <c r="B8" s="20">
        <v>2</v>
      </c>
      <c r="C8" s="21">
        <v>439</v>
      </c>
      <c r="D8" s="22">
        <v>276356</v>
      </c>
      <c r="E8" s="22">
        <v>0</v>
      </c>
      <c r="F8" s="22">
        <v>276356</v>
      </c>
      <c r="G8" s="22">
        <v>12</v>
      </c>
      <c r="H8" s="22">
        <v>365</v>
      </c>
      <c r="I8" s="23" t="s">
        <v>81</v>
      </c>
      <c r="J8" s="31"/>
      <c r="K8" s="24" t="str">
        <f t="shared" si="1"/>
        <v/>
      </c>
      <c r="L8" s="32"/>
      <c r="M8" s="25" t="str">
        <f t="shared" si="2"/>
        <v/>
      </c>
      <c r="N8" s="33">
        <v>0.53900000000000003</v>
      </c>
      <c r="O8" s="25">
        <f t="shared" si="3"/>
        <v>20728</v>
      </c>
      <c r="P8" s="33">
        <v>1.5389999999999999</v>
      </c>
      <c r="Q8" s="25">
        <f t="shared" si="0"/>
        <v>4253.12</v>
      </c>
      <c r="R8" s="25">
        <f t="shared" si="4"/>
        <v>24981.119999999999</v>
      </c>
      <c r="S8" s="25" t="str">
        <f t="shared" si="5"/>
        <v/>
      </c>
      <c r="T8" s="25" t="str">
        <f t="shared" si="6"/>
        <v/>
      </c>
    </row>
    <row r="9" spans="1:20" ht="31.2" customHeight="1">
      <c r="R9" s="28" t="s">
        <v>75</v>
      </c>
      <c r="S9" s="25" t="str">
        <f>IF(SUM(S5:S8)=0,"",SUM(S5:S8))</f>
        <v/>
      </c>
      <c r="T9" s="25" t="str">
        <f>IF(SUM(T5:T8)=0,"",SUM(T5:T8))</f>
        <v/>
      </c>
    </row>
    <row r="10" spans="1:20" ht="64.2" customHeight="1">
      <c r="A10" s="34" t="s">
        <v>76</v>
      </c>
      <c r="B10" s="35"/>
      <c r="C10" s="35"/>
      <c r="D10" s="35"/>
      <c r="E10" s="35"/>
      <c r="F10" s="35"/>
      <c r="G10" s="35"/>
      <c r="H10" s="35"/>
      <c r="I10" s="36"/>
    </row>
    <row r="11" spans="1:20" ht="15.6">
      <c r="A11" s="34" t="s">
        <v>80</v>
      </c>
      <c r="B11" s="35"/>
      <c r="C11" s="35"/>
      <c r="D11" s="35"/>
      <c r="E11" s="35"/>
      <c r="F11" s="35"/>
      <c r="G11" s="35"/>
      <c r="H11" s="35"/>
      <c r="I11" s="36"/>
    </row>
    <row r="26" spans="10:10">
      <c r="J26" s="27"/>
    </row>
  </sheetData>
  <sheetProtection algorithmName="SHA-512" hashValue="npyi3oyeWkuzuiwH8CjxhMZ/6AaFTKdwuHrW2lHLlBFCW8WJFA8ufhXCbeTIKBClS6MnfG4+F7JrIVMu6GmRMA==" saltValue="YN4S6hOFLTSr6jaAQPHmIw==" spinCount="100000" sheet="1" objects="1" scenarios="1"/>
  <protectedRanges>
    <protectedRange sqref="L5:L8" name="Rozstęp2"/>
    <protectedRange sqref="J5:J8" name="Rozstęp1"/>
  </protectedRanges>
  <mergeCells count="14">
    <mergeCell ref="A11:I11"/>
    <mergeCell ref="A10:I10"/>
    <mergeCell ref="J2:M2"/>
    <mergeCell ref="N2:R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User4</cp:lastModifiedBy>
  <cp:lastPrinted>2018-10-23T11:40:00Z</cp:lastPrinted>
  <dcterms:created xsi:type="dcterms:W3CDTF">2010-01-11T11:46:38Z</dcterms:created>
  <dcterms:modified xsi:type="dcterms:W3CDTF">2019-05-13T10:28:45Z</dcterms:modified>
</cp:coreProperties>
</file>